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ndig.org\"/>
    </mc:Choice>
  </mc:AlternateContent>
  <xr:revisionPtr revIDLastSave="0" documentId="8_{D151B160-4CFE-461D-8257-6B0281464841}" xr6:coauthVersionLast="47" xr6:coauthVersionMax="47" xr10:uidLastSave="{00000000-0000-0000-0000-000000000000}"/>
  <bookViews>
    <workbookView xWindow="-120" yWindow="-120" windowWidth="29040" windowHeight="15720" xr2:uid="{FE76007D-39AE-47AD-961B-75AAA2F26693}"/>
  </bookViews>
  <sheets>
    <sheet name="Feuil1" sheetId="1" r:id="rId1"/>
  </sheets>
  <definedNames>
    <definedName name="Prix_Achat">Feuil1!$I$4</definedName>
    <definedName name="Taux_FP">Feuil1!$H$7</definedName>
    <definedName name="_xlnm.Print_Area" localSheetId="0">Feuil1!$A$1:$J$27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4" i="1"/>
  <c r="G23" i="1"/>
  <c r="K9" i="1"/>
  <c r="L8" i="1"/>
  <c r="L7" i="1"/>
  <c r="E14" i="1"/>
  <c r="L12" i="1"/>
  <c r="C12" i="1" s="1"/>
  <c r="C13" i="1" s="1"/>
  <c r="E13" i="1" s="1"/>
  <c r="L9" i="1"/>
  <c r="L4" i="1"/>
  <c r="I8" i="1"/>
  <c r="I7" i="1"/>
  <c r="I10" i="1" s="1"/>
  <c r="I5" i="1"/>
  <c r="I6" i="1" s="1"/>
  <c r="E9" i="1"/>
  <c r="I12" i="1" l="1"/>
  <c r="C22" i="1" s="1"/>
  <c r="G22" i="1" s="1"/>
  <c r="H11" i="1"/>
  <c r="I11" i="1"/>
  <c r="C21" i="1" s="1"/>
  <c r="G21" i="1" s="1"/>
  <c r="H12" i="1"/>
  <c r="I13" i="1"/>
  <c r="L13" i="1" s="1"/>
  <c r="E12" i="1"/>
  <c r="E15" i="1" s="1"/>
  <c r="G15" i="1" s="1"/>
  <c r="M4" i="1"/>
  <c r="N4" i="1" s="1"/>
  <c r="O4" i="1" s="1"/>
  <c r="M9" i="1"/>
  <c r="N9" i="1" s="1"/>
  <c r="O9" i="1" s="1"/>
  <c r="G25" i="1" l="1"/>
  <c r="G26" i="1" s="1"/>
  <c r="L15" i="1"/>
</calcChain>
</file>

<file path=xl/sharedStrings.xml><?xml version="1.0" encoding="utf-8"?>
<sst xmlns="http://schemas.openxmlformats.org/spreadsheetml/2006/main" count="33" uniqueCount="30">
  <si>
    <t>Liquidités disponibles</t>
  </si>
  <si>
    <t>Avoir disponible net s/CP (LPP)</t>
  </si>
  <si>
    <t>Revenus annuels nets admis</t>
  </si>
  <si>
    <t>Charges totales admises pour valider l'achat</t>
  </si>
  <si>
    <t>Prix d'achat</t>
  </si>
  <si>
    <t>Frais d'achat</t>
  </si>
  <si>
    <r>
      <rPr>
        <b/>
        <sz val="12"/>
        <color theme="1"/>
        <rFont val="Arial"/>
        <family val="2"/>
      </rPr>
      <t>Soldes s/3e piliers liés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Pour info car ils ne seront utilisés que dans le cadre d'un 
amortissement indirect partiel</t>
    </r>
  </si>
  <si>
    <t>Prix de revient d'achat</t>
  </si>
  <si>
    <t>Fonds propres</t>
  </si>
  <si>
    <t>Dont prélèvement s/liquidités</t>
  </si>
  <si>
    <t>Retrait s/CP</t>
  </si>
  <si>
    <t>1e hypothèque (1e rang)</t>
  </si>
  <si>
    <t>2e hypothèque (2e rang)</t>
  </si>
  <si>
    <t>Frais d'entretien</t>
  </si>
  <si>
    <t>Montant à financer</t>
  </si>
  <si>
    <t>Charge théoriques totales</t>
  </si>
  <si>
    <t>Total à prélever s/liquidités</t>
  </si>
  <si>
    <t>Ci-dessous : Tenue des charges</t>
  </si>
  <si>
    <t>Financement de son propre logement 
(exemple prudent : les frais d'achat doivent être payés séparément)</t>
  </si>
  <si>
    <t>24.08.2024 12:00 / PK</t>
  </si>
  <si>
    <t>Calcul approximatif des charges réelles pour comparer avec la location d'un appartement</t>
  </si>
  <si>
    <t>1e hypothèque</t>
  </si>
  <si>
    <t>Taux d'intérêt</t>
  </si>
  <si>
    <t>Charge annuelle</t>
  </si>
  <si>
    <t>2e hypothèque</t>
  </si>
  <si>
    <t>CHF</t>
  </si>
  <si>
    <t>sur (ans)</t>
  </si>
  <si>
    <t>Amort. 2e rang</t>
  </si>
  <si>
    <t>Charges totales annuelles</t>
  </si>
  <si>
    <t>Charges totales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</si>
</sst>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theme="0"/>
      <name val="Arial"/>
      <family val="2"/>
    </font>
    <font>
      <b/>
      <sz val="12"/>
      <color rgb="FF0070C0"/>
      <name val="Arial"/>
      <family val="2"/>
    </font>
    <font>
      <sz val="16"/>
      <color theme="1"/>
      <name val="Arial"/>
      <family val="2"/>
    </font>
    <font>
      <b/>
      <sz val="1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43" fontId="3" fillId="2" borderId="4" xfId="1" applyFont="1" applyFill="1" applyBorder="1" applyAlignment="1" applyProtection="1">
      <alignment vertical="center"/>
      <protection locked="0"/>
    </xf>
    <xf numFmtId="43" fontId="3" fillId="3" borderId="6" xfId="1" applyFont="1" applyFill="1" applyBorder="1" applyAlignment="1" applyProtection="1">
      <alignment vertical="center"/>
      <protection locked="0"/>
    </xf>
    <xf numFmtId="43" fontId="4" fillId="5" borderId="6" xfId="1" applyFont="1" applyFill="1" applyBorder="1" applyAlignment="1" applyProtection="1">
      <alignment vertical="center"/>
      <protection locked="0"/>
    </xf>
    <xf numFmtId="43" fontId="3" fillId="6" borderId="8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0" fontId="4" fillId="8" borderId="1" xfId="2" applyNumberFormat="1" applyFont="1" applyFill="1" applyBorder="1" applyAlignment="1" applyProtection="1">
      <alignment vertical="center"/>
      <protection locked="0"/>
    </xf>
    <xf numFmtId="10" fontId="3" fillId="2" borderId="1" xfId="2" applyNumberFormat="1" applyFont="1" applyFill="1" applyBorder="1" applyAlignment="1" applyProtection="1">
      <alignment vertical="center"/>
      <protection locked="0"/>
    </xf>
    <xf numFmtId="0" fontId="3" fillId="6" borderId="5" xfId="0" applyFont="1" applyFill="1" applyBorder="1" applyAlignment="1">
      <alignment vertical="center"/>
    </xf>
    <xf numFmtId="43" fontId="3" fillId="6" borderId="6" xfId="1" applyFont="1" applyFill="1" applyBorder="1" applyAlignment="1">
      <alignment vertical="center"/>
    </xf>
    <xf numFmtId="43" fontId="10" fillId="0" borderId="6" xfId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43" fontId="4" fillId="8" borderId="6" xfId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1" fillId="3" borderId="0" xfId="1" applyNumberFormat="1" applyFont="1" applyFill="1" applyAlignment="1">
      <alignment horizontal="center" vertical="center"/>
    </xf>
    <xf numFmtId="0" fontId="11" fillId="2" borderId="0" xfId="1" applyNumberFormat="1" applyFont="1" applyFill="1" applyAlignment="1">
      <alignment horizontal="center" vertical="center"/>
    </xf>
    <xf numFmtId="10" fontId="7" fillId="0" borderId="0" xfId="2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43" fontId="6" fillId="2" borderId="31" xfId="1" applyFont="1" applyFill="1" applyBorder="1" applyAlignment="1">
      <alignment vertical="center"/>
    </xf>
    <xf numFmtId="10" fontId="12" fillId="0" borderId="0" xfId="2" applyNumberFormat="1" applyFont="1" applyAlignment="1" applyProtection="1">
      <alignment vertical="center"/>
      <protection locked="0"/>
    </xf>
    <xf numFmtId="43" fontId="6" fillId="6" borderId="31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9" fontId="9" fillId="0" borderId="0" xfId="0" applyNumberFormat="1" applyFont="1" applyAlignment="1">
      <alignment vertical="center"/>
    </xf>
    <xf numFmtId="43" fontId="4" fillId="7" borderId="4" xfId="1" applyFont="1" applyFill="1" applyBorder="1" applyAlignment="1" applyProtection="1">
      <alignment vertical="center"/>
      <protection locked="0"/>
    </xf>
    <xf numFmtId="10" fontId="3" fillId="6" borderId="1" xfId="2" applyNumberFormat="1" applyFont="1" applyFill="1" applyBorder="1" applyAlignment="1" applyProtection="1">
      <alignment vertical="center"/>
      <protection locked="0"/>
    </xf>
    <xf numFmtId="0" fontId="5" fillId="0" borderId="28" xfId="0" applyFont="1" applyBorder="1" applyAlignment="1">
      <alignment horizontal="center" vertical="center"/>
    </xf>
    <xf numFmtId="0" fontId="6" fillId="6" borderId="29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3" fillId="6" borderId="2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43" fontId="4" fillId="4" borderId="9" xfId="1" applyFont="1" applyFill="1" applyBorder="1" applyAlignment="1" applyProtection="1">
      <alignment horizontal="left" vertical="center"/>
      <protection locked="0"/>
    </xf>
    <xf numFmtId="43" fontId="4" fillId="4" borderId="10" xfId="1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3" fillId="3" borderId="8" xfId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43" fontId="3" fillId="6" borderId="0" xfId="1" applyFont="1" applyFill="1" applyAlignment="1">
      <alignment vertical="center"/>
    </xf>
    <xf numFmtId="9" fontId="3" fillId="6" borderId="0" xfId="0" applyNumberFormat="1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13" fillId="0" borderId="1" xfId="1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43" fontId="13" fillId="0" borderId="6" xfId="1" applyFont="1" applyBorder="1" applyAlignment="1">
      <alignment vertical="center"/>
    </xf>
    <xf numFmtId="43" fontId="13" fillId="0" borderId="8" xfId="1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43" fontId="13" fillId="0" borderId="37" xfId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43" fontId="13" fillId="0" borderId="10" xfId="1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9" xfId="0" applyFont="1" applyBorder="1" applyAlignment="1">
      <alignment horizontal="right" vertical="center"/>
    </xf>
    <xf numFmtId="0" fontId="13" fillId="0" borderId="40" xfId="0" applyFont="1" applyBorder="1" applyAlignment="1">
      <alignment vertical="center"/>
    </xf>
    <xf numFmtId="0" fontId="13" fillId="0" borderId="31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0" fontId="14" fillId="7" borderId="38" xfId="0" applyNumberFormat="1" applyFont="1" applyFill="1" applyBorder="1" applyAlignment="1" applyProtection="1">
      <alignment vertical="center"/>
      <protection locked="0"/>
    </xf>
    <xf numFmtId="10" fontId="14" fillId="7" borderId="35" xfId="0" applyNumberFormat="1" applyFont="1" applyFill="1" applyBorder="1" applyAlignment="1" applyProtection="1">
      <alignment vertical="center"/>
      <protection locked="0"/>
    </xf>
    <xf numFmtId="10" fontId="14" fillId="7" borderId="35" xfId="2" applyNumberFormat="1" applyFont="1" applyFill="1" applyBorder="1" applyAlignment="1" applyProtection="1">
      <alignment vertical="center"/>
      <protection locked="0"/>
    </xf>
    <xf numFmtId="0" fontId="14" fillId="7" borderId="41" xfId="0" applyFont="1" applyFill="1" applyBorder="1" applyAlignment="1" applyProtection="1">
      <alignment vertical="center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5" fillId="7" borderId="42" xfId="0" applyFont="1" applyFill="1" applyBorder="1" applyAlignment="1">
      <alignment horizontal="right" vertical="center"/>
    </xf>
    <xf numFmtId="0" fontId="5" fillId="7" borderId="43" xfId="0" applyFont="1" applyFill="1" applyBorder="1" applyAlignment="1">
      <alignment horizontal="right" vertical="center"/>
    </xf>
    <xf numFmtId="43" fontId="5" fillId="7" borderId="44" xfId="1" applyFont="1" applyFill="1" applyBorder="1" applyAlignment="1">
      <alignment vertical="center"/>
    </xf>
    <xf numFmtId="0" fontId="13" fillId="0" borderId="29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43" fontId="13" fillId="0" borderId="31" xfId="1" applyFont="1" applyBorder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66"/>
      <color rgb="FFFF33CC"/>
      <color rgb="FF00FF0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</xdr:colOff>
      <xdr:row>2</xdr:row>
      <xdr:rowOff>186476</xdr:rowOff>
    </xdr:from>
    <xdr:to>
      <xdr:col>8</xdr:col>
      <xdr:colOff>1362075</xdr:colOff>
      <xdr:row>2</xdr:row>
      <xdr:rowOff>1487782</xdr:rowOff>
    </xdr:to>
    <xdr:pic>
      <xdr:nvPicPr>
        <xdr:cNvPr id="2" name="Image 1" descr="Villa 1618 Châtel-St-Denis Vente TissoT Immobilier">
          <a:extLst>
            <a:ext uri="{FF2B5EF4-FFF2-40B4-BE49-F238E27FC236}">
              <a16:creationId xmlns:a16="http://schemas.microsoft.com/office/drawing/2014/main" id="{8F0C1E0E-9649-9359-C017-95EF348777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667"/>
        <a:stretch/>
      </xdr:blipFill>
      <xdr:spPr bwMode="auto">
        <a:xfrm>
          <a:off x="7353299" y="748451"/>
          <a:ext cx="2057401" cy="1301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186476</xdr:rowOff>
    </xdr:from>
    <xdr:to>
      <xdr:col>3</xdr:col>
      <xdr:colOff>28575</xdr:colOff>
      <xdr:row>2</xdr:row>
      <xdr:rowOff>1572364</xdr:rowOff>
    </xdr:to>
    <xdr:pic>
      <xdr:nvPicPr>
        <xdr:cNvPr id="3" name="Image 2" descr="22 choses qui changent quand on a trois enfants plutôt que deux ...">
          <a:extLst>
            <a:ext uri="{FF2B5EF4-FFF2-40B4-BE49-F238E27FC236}">
              <a16:creationId xmlns:a16="http://schemas.microsoft.com/office/drawing/2014/main" id="{076096F8-C064-DF3D-9257-125D477C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48451"/>
          <a:ext cx="2771775" cy="13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197295</xdr:colOff>
      <xdr:row>2</xdr:row>
      <xdr:rowOff>136526</xdr:rowOff>
    </xdr:from>
    <xdr:to>
      <xdr:col>6</xdr:col>
      <xdr:colOff>1609725</xdr:colOff>
      <xdr:row>2</xdr:row>
      <xdr:rowOff>1648668</xdr:rowOff>
    </xdr:to>
    <xdr:pic>
      <xdr:nvPicPr>
        <xdr:cNvPr id="6" name="Image 5" descr="Le diagramme montre l'évolution des taux d'intérêt de l'hypothèque à taux fixe sur 5 ans depuis 2000. (source: Raiffeisen Suisse)">
          <a:extLst>
            <a:ext uri="{FF2B5EF4-FFF2-40B4-BE49-F238E27FC236}">
              <a16:creationId xmlns:a16="http://schemas.microsoft.com/office/drawing/2014/main" id="{5280E24D-D61F-1499-D617-1EC3827F8E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898"/>
        <a:stretch/>
      </xdr:blipFill>
      <xdr:spPr bwMode="auto">
        <a:xfrm>
          <a:off x="3731070" y="698501"/>
          <a:ext cx="2831655" cy="151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7286-7966-4F42-BDA3-7381043426BB}">
  <dimension ref="B1:O41"/>
  <sheetViews>
    <sheetView showGridLines="0" tabSelected="1" workbookViewId="0">
      <selection activeCell="E4" sqref="E4"/>
    </sheetView>
  </sheetViews>
  <sheetFormatPr baseColWidth="10" defaultRowHeight="15" x14ac:dyDescent="0.25"/>
  <cols>
    <col min="1" max="1" width="0.85546875" style="1" customWidth="1"/>
    <col min="2" max="2" width="30.7109375" style="1" customWidth="1"/>
    <col min="3" max="4" width="10.7109375" style="1" customWidth="1"/>
    <col min="5" max="5" width="18.7109375" style="1" customWidth="1"/>
    <col min="6" max="6" width="2.5703125" style="1" customWidth="1"/>
    <col min="7" max="7" width="35.7109375" style="1" customWidth="1"/>
    <col min="8" max="8" width="10.7109375" style="1" customWidth="1"/>
    <col min="9" max="9" width="20.7109375" style="1" customWidth="1"/>
    <col min="10" max="10" width="0.85546875" style="1" customWidth="1"/>
    <col min="11" max="11" width="10.7109375" style="1" customWidth="1"/>
    <col min="12" max="12" width="11.42578125" style="1"/>
    <col min="13" max="13" width="15.42578125" style="1" bestFit="1" customWidth="1"/>
    <col min="14" max="14" width="14.42578125" style="1" bestFit="1" customWidth="1"/>
    <col min="15" max="16384" width="11.42578125" style="1"/>
  </cols>
  <sheetData>
    <row r="1" spans="2:15" ht="4.5" customHeight="1" x14ac:dyDescent="0.25"/>
    <row r="2" spans="2:15" s="2" customFormat="1" ht="39.950000000000003" customHeight="1" x14ac:dyDescent="0.25">
      <c r="B2" s="60" t="s">
        <v>18</v>
      </c>
      <c r="C2" s="61"/>
      <c r="D2" s="61"/>
      <c r="E2" s="61"/>
      <c r="F2" s="61"/>
      <c r="G2" s="61"/>
      <c r="H2" s="61"/>
      <c r="I2" s="61"/>
    </row>
    <row r="3" spans="2:15" s="5" customFormat="1" ht="140.1" customHeight="1" thickBot="1" x14ac:dyDescent="0.3">
      <c r="M3"/>
    </row>
    <row r="4" spans="2:15" s="5" customFormat="1" ht="27.95" customHeight="1" x14ac:dyDescent="0.25">
      <c r="B4" s="42" t="s">
        <v>0</v>
      </c>
      <c r="C4" s="43"/>
      <c r="D4" s="44"/>
      <c r="E4" s="8">
        <v>105000</v>
      </c>
      <c r="G4" s="62" t="s">
        <v>4</v>
      </c>
      <c r="H4" s="63"/>
      <c r="I4" s="34">
        <v>700000</v>
      </c>
      <c r="L4" s="23">
        <f>+E4</f>
        <v>105000</v>
      </c>
      <c r="M4" s="22">
        <f>+I8+I5</f>
        <v>105000</v>
      </c>
      <c r="N4" s="22">
        <f>+L4-M4</f>
        <v>0</v>
      </c>
      <c r="O4" s="25">
        <f>IF(N4&lt;0,1,0)</f>
        <v>0</v>
      </c>
    </row>
    <row r="5" spans="2:15" s="5" customFormat="1" ht="27.95" customHeight="1" x14ac:dyDescent="0.25">
      <c r="B5" s="45" t="s">
        <v>1</v>
      </c>
      <c r="C5" s="46"/>
      <c r="D5" s="47"/>
      <c r="E5" s="9">
        <v>160000</v>
      </c>
      <c r="G5" s="15" t="s">
        <v>5</v>
      </c>
      <c r="H5" s="35">
        <v>0.05</v>
      </c>
      <c r="I5" s="16">
        <f>Prix_Achat*H5</f>
        <v>35000</v>
      </c>
    </row>
    <row r="6" spans="2:15" s="5" customFormat="1" ht="27.95" customHeight="1" x14ac:dyDescent="0.25">
      <c r="B6" s="48" t="s">
        <v>6</v>
      </c>
      <c r="C6" s="49"/>
      <c r="D6" s="50"/>
      <c r="E6" s="64">
        <v>60000</v>
      </c>
      <c r="F6" s="6"/>
      <c r="G6" s="68" t="s">
        <v>7</v>
      </c>
      <c r="H6" s="69"/>
      <c r="I6" s="17">
        <f>+Prix_Achat+I5</f>
        <v>735000</v>
      </c>
    </row>
    <row r="7" spans="2:15" s="5" customFormat="1" ht="27.95" customHeight="1" x14ac:dyDescent="0.25">
      <c r="B7" s="51"/>
      <c r="C7" s="52"/>
      <c r="D7" s="53"/>
      <c r="E7" s="65"/>
      <c r="F7" s="6"/>
      <c r="G7" s="18" t="s">
        <v>8</v>
      </c>
      <c r="H7" s="13">
        <v>0.2</v>
      </c>
      <c r="I7" s="19">
        <f>+Prix_Achat*H7</f>
        <v>140000</v>
      </c>
      <c r="L7" s="12">
        <f>IF(Taux_FP&lt;20%,1,0)</f>
        <v>0</v>
      </c>
    </row>
    <row r="8" spans="2:15" s="5" customFormat="1" ht="27.95" customHeight="1" x14ac:dyDescent="0.25">
      <c r="B8" s="54" t="s">
        <v>2</v>
      </c>
      <c r="C8" s="55"/>
      <c r="D8" s="56"/>
      <c r="E8" s="10">
        <v>130000</v>
      </c>
      <c r="F8" s="6"/>
      <c r="G8" s="20" t="s">
        <v>9</v>
      </c>
      <c r="H8" s="14">
        <v>0.1</v>
      </c>
      <c r="I8" s="21">
        <f>Prix_Achat*H8</f>
        <v>70000</v>
      </c>
      <c r="L8" s="12">
        <f>IF(H8&lt;10%,1,0)</f>
        <v>0</v>
      </c>
    </row>
    <row r="9" spans="2:15" s="5" customFormat="1" ht="27.95" customHeight="1" thickBot="1" x14ac:dyDescent="0.3">
      <c r="B9" s="57" t="s">
        <v>3</v>
      </c>
      <c r="C9" s="58"/>
      <c r="D9" s="59"/>
      <c r="E9" s="11">
        <f>ROUND((+E8/3),0)</f>
        <v>43333</v>
      </c>
      <c r="F9" s="6"/>
      <c r="G9" s="66" t="s">
        <v>10</v>
      </c>
      <c r="H9" s="67"/>
      <c r="I9" s="70">
        <v>160000</v>
      </c>
      <c r="K9" s="75" t="str">
        <f>IF(I9&gt;E5,"Faux !","OK")</f>
        <v>OK</v>
      </c>
      <c r="L9" s="23">
        <f>+E5</f>
        <v>160000</v>
      </c>
      <c r="M9" s="23">
        <f>+I9</f>
        <v>160000</v>
      </c>
      <c r="N9" s="22">
        <f>+L9-M9</f>
        <v>0</v>
      </c>
      <c r="O9" s="24">
        <f>IF(N9&lt;0,1,0)</f>
        <v>0</v>
      </c>
    </row>
    <row r="10" spans="2:15" s="5" customFormat="1" ht="27.95" customHeight="1" x14ac:dyDescent="0.25">
      <c r="B10" s="36" t="s">
        <v>17</v>
      </c>
      <c r="C10" s="36"/>
      <c r="D10" s="36"/>
      <c r="E10" s="36"/>
      <c r="F10" s="6"/>
      <c r="G10" s="72" t="s">
        <v>14</v>
      </c>
      <c r="H10" s="72"/>
      <c r="I10" s="73">
        <f>+Prix_Achat-I7</f>
        <v>560000</v>
      </c>
    </row>
    <row r="11" spans="2:15" s="5" customFormat="1" ht="27.95" customHeight="1" x14ac:dyDescent="0.25">
      <c r="B11" s="71"/>
      <c r="C11" s="71"/>
      <c r="D11" s="71"/>
      <c r="E11" s="71"/>
      <c r="F11" s="6"/>
      <c r="G11" s="72" t="s">
        <v>11</v>
      </c>
      <c r="H11" s="74">
        <f>+C12</f>
        <v>0.65</v>
      </c>
      <c r="I11" s="73">
        <f>+Prix_Achat*C12</f>
        <v>455000</v>
      </c>
    </row>
    <row r="12" spans="2:15" s="3" customFormat="1" ht="27.95" customHeight="1" thickBot="1" x14ac:dyDescent="0.3">
      <c r="B12" s="3" t="s">
        <v>11</v>
      </c>
      <c r="C12" s="33">
        <f>IF(L12&gt;M12,M12,L12)</f>
        <v>0.65</v>
      </c>
      <c r="D12" s="29">
        <v>0.05</v>
      </c>
      <c r="E12" s="4">
        <f>Prix_Achat*C12*D12</f>
        <v>22750</v>
      </c>
      <c r="G12" s="72" t="s">
        <v>12</v>
      </c>
      <c r="H12" s="74">
        <f>+C13</f>
        <v>0.14999999999999997</v>
      </c>
      <c r="I12" s="73">
        <f>+Prix_Achat*C13</f>
        <v>104999.99999999997</v>
      </c>
      <c r="L12" s="26">
        <f>1-Taux_FP</f>
        <v>0.8</v>
      </c>
      <c r="M12" s="27">
        <v>0.65</v>
      </c>
      <c r="N12" s="5"/>
      <c r="O12" s="5"/>
    </row>
    <row r="13" spans="2:15" s="3" customFormat="1" ht="27.95" customHeight="1" thickBot="1" x14ac:dyDescent="0.3">
      <c r="B13" s="3" t="s">
        <v>12</v>
      </c>
      <c r="C13" s="33">
        <f>1-C12-H7</f>
        <v>0.14999999999999997</v>
      </c>
      <c r="D13" s="29">
        <v>0.06</v>
      </c>
      <c r="E13" s="4">
        <f>Prix_Achat*C13*D13</f>
        <v>6299.9999999999982</v>
      </c>
      <c r="G13" s="39" t="s">
        <v>16</v>
      </c>
      <c r="H13" s="40"/>
      <c r="I13" s="28">
        <f>+I8+I5</f>
        <v>105000</v>
      </c>
      <c r="L13" s="12">
        <f>IF(E4&lt;I13,1,0)</f>
        <v>0</v>
      </c>
      <c r="M13" s="5"/>
      <c r="N13" s="5"/>
      <c r="O13" s="5"/>
    </row>
    <row r="14" spans="2:15" s="3" customFormat="1" ht="27.95" customHeight="1" thickBot="1" x14ac:dyDescent="0.3">
      <c r="B14" s="41" t="s">
        <v>13</v>
      </c>
      <c r="C14" s="41"/>
      <c r="D14" s="29">
        <v>0.01</v>
      </c>
      <c r="E14" s="4">
        <f>+Prix_Achat*D14</f>
        <v>7000</v>
      </c>
    </row>
    <row r="15" spans="2:15" s="5" customFormat="1" ht="27.95" customHeight="1" thickBot="1" x14ac:dyDescent="0.3">
      <c r="B15" s="37" t="s">
        <v>15</v>
      </c>
      <c r="C15" s="38"/>
      <c r="D15" s="38"/>
      <c r="E15" s="30">
        <f>SUM(E12:E14)</f>
        <v>36050</v>
      </c>
      <c r="F15" s="6"/>
      <c r="G15" s="31" t="str">
        <f>IF(E9&gt;E15,"Financement accepté","Financement refusé")</f>
        <v>Financement accepté</v>
      </c>
      <c r="H15" s="6"/>
      <c r="I15" s="32" t="s">
        <v>19</v>
      </c>
      <c r="L15" s="12">
        <f>IF(E9&gt;E15,1,0)</f>
        <v>1</v>
      </c>
    </row>
    <row r="16" spans="2:15" s="5" customFormat="1" ht="6.75" customHeight="1" x14ac:dyDescent="0.25">
      <c r="B16" s="6"/>
      <c r="C16" s="6"/>
      <c r="D16" s="6"/>
      <c r="E16" s="7"/>
      <c r="F16" s="6"/>
      <c r="G16" s="6"/>
      <c r="H16" s="6"/>
      <c r="I16" s="6"/>
    </row>
    <row r="17" spans="2:9" s="5" customFormat="1" ht="24.95" customHeight="1" thickBot="1" x14ac:dyDescent="0.3">
      <c r="B17" s="6"/>
      <c r="C17" s="6"/>
      <c r="D17" s="6"/>
      <c r="E17" s="6"/>
      <c r="F17" s="6"/>
      <c r="G17" s="6"/>
      <c r="H17" s="6"/>
      <c r="I17" s="6"/>
    </row>
    <row r="18" spans="2:9" s="5" customFormat="1" ht="24.95" customHeight="1" thickBot="1" x14ac:dyDescent="0.3">
      <c r="B18" s="76" t="s">
        <v>20</v>
      </c>
      <c r="C18" s="77"/>
      <c r="D18" s="77"/>
      <c r="E18" s="77"/>
      <c r="F18" s="77"/>
      <c r="G18" s="77"/>
      <c r="H18" s="77"/>
      <c r="I18" s="78"/>
    </row>
    <row r="19" spans="2:9" s="81" customFormat="1" ht="50.1" customHeight="1" thickBot="1" x14ac:dyDescent="0.3">
      <c r="B19" s="80"/>
      <c r="C19" s="80"/>
      <c r="D19" s="80"/>
      <c r="E19" s="80"/>
      <c r="F19" s="80"/>
      <c r="G19" s="80"/>
      <c r="H19" s="80"/>
      <c r="I19" s="80"/>
    </row>
    <row r="20" spans="2:9" s="79" customFormat="1" ht="24.95" customHeight="1" thickBot="1" x14ac:dyDescent="0.3">
      <c r="B20" s="91"/>
      <c r="C20" s="92" t="s">
        <v>25</v>
      </c>
      <c r="D20" s="92"/>
      <c r="E20" s="93" t="s">
        <v>22</v>
      </c>
      <c r="F20" s="94"/>
      <c r="G20" s="95" t="s">
        <v>23</v>
      </c>
    </row>
    <row r="21" spans="2:9" s="79" customFormat="1" ht="24.95" customHeight="1" x14ac:dyDescent="0.25">
      <c r="B21" s="87" t="s">
        <v>21</v>
      </c>
      <c r="C21" s="88">
        <f>+I11</f>
        <v>455000</v>
      </c>
      <c r="D21" s="88"/>
      <c r="E21" s="99">
        <v>1.7999999999999999E-2</v>
      </c>
      <c r="F21" s="89"/>
      <c r="G21" s="90">
        <f>ROUNDUP(C21*E21,0)</f>
        <v>8190</v>
      </c>
    </row>
    <row r="22" spans="2:9" s="79" customFormat="1" ht="24.95" customHeight="1" x14ac:dyDescent="0.25">
      <c r="B22" s="84" t="s">
        <v>24</v>
      </c>
      <c r="C22" s="82">
        <f>+I12</f>
        <v>104999.99999999997</v>
      </c>
      <c r="D22" s="82"/>
      <c r="E22" s="100">
        <v>1.7999999999999999E-2</v>
      </c>
      <c r="F22" s="83"/>
      <c r="G22" s="85">
        <f>ROUNDUP(C22*E22,0)</f>
        <v>1890</v>
      </c>
    </row>
    <row r="23" spans="2:9" s="79" customFormat="1" ht="24.95" customHeight="1" x14ac:dyDescent="0.25">
      <c r="B23" s="103" t="s">
        <v>13</v>
      </c>
      <c r="C23" s="104"/>
      <c r="D23" s="105"/>
      <c r="E23" s="101">
        <v>5.0000000000000001E-3</v>
      </c>
      <c r="F23" s="83"/>
      <c r="G23" s="85">
        <f>+Prix_Achat*E23</f>
        <v>3500</v>
      </c>
    </row>
    <row r="24" spans="2:9" s="79" customFormat="1" ht="24.95" customHeight="1" thickBot="1" x14ac:dyDescent="0.3">
      <c r="B24" s="96" t="s">
        <v>27</v>
      </c>
      <c r="C24" s="98" t="s">
        <v>26</v>
      </c>
      <c r="D24" s="98"/>
      <c r="E24" s="102">
        <v>20</v>
      </c>
      <c r="F24" s="97"/>
      <c r="G24" s="86">
        <f>+I12/E24</f>
        <v>5249.9999999999982</v>
      </c>
    </row>
    <row r="25" spans="2:9" s="79" customFormat="1" ht="24.95" customHeight="1" thickBot="1" x14ac:dyDescent="0.3">
      <c r="B25" s="109" t="s">
        <v>28</v>
      </c>
      <c r="C25" s="110"/>
      <c r="D25" s="110"/>
      <c r="E25" s="110"/>
      <c r="F25" s="110"/>
      <c r="G25" s="111">
        <f>SUM(G21:G24)</f>
        <v>18830</v>
      </c>
    </row>
    <row r="26" spans="2:9" s="5" customFormat="1" ht="24.95" customHeight="1" thickBot="1" x14ac:dyDescent="0.3">
      <c r="B26" s="106" t="s">
        <v>29</v>
      </c>
      <c r="C26" s="107"/>
      <c r="D26" s="107"/>
      <c r="E26" s="107"/>
      <c r="F26" s="107"/>
      <c r="G26" s="108">
        <f>ROUNDUP(G25/12,0)</f>
        <v>1570</v>
      </c>
      <c r="I26" s="32" t="str">
        <f>+I15</f>
        <v>24.08.2024 12:00 / PK</v>
      </c>
    </row>
    <row r="27" spans="2:9" s="5" customFormat="1" ht="24.95" customHeight="1" x14ac:dyDescent="0.25">
      <c r="G27" s="22"/>
    </row>
    <row r="28" spans="2:9" s="5" customFormat="1" ht="24.95" customHeight="1" x14ac:dyDescent="0.25"/>
    <row r="29" spans="2:9" s="5" customFormat="1" ht="24.95" customHeight="1" x14ac:dyDescent="0.25"/>
    <row r="30" spans="2:9" s="5" customFormat="1" ht="24.95" customHeight="1" x14ac:dyDescent="0.25"/>
    <row r="31" spans="2:9" s="2" customFormat="1" ht="24.95" customHeight="1" x14ac:dyDescent="0.25"/>
    <row r="32" spans="2:9" s="2" customFormat="1" ht="24.95" customHeight="1" x14ac:dyDescent="0.25"/>
    <row r="33" s="2" customFormat="1" ht="24.95" customHeight="1" x14ac:dyDescent="0.25"/>
    <row r="34" s="2" customFormat="1" ht="24.95" customHeight="1" x14ac:dyDescent="0.25"/>
    <row r="35" s="2" customFormat="1" ht="24.95" customHeight="1" x14ac:dyDescent="0.25"/>
    <row r="36" s="2" customFormat="1" ht="24.95" customHeight="1" x14ac:dyDescent="0.25"/>
    <row r="37" s="2" customFormat="1" ht="24.95" customHeight="1" x14ac:dyDescent="0.25"/>
    <row r="38" s="2" customFormat="1" ht="24.95" customHeight="1" x14ac:dyDescent="0.25"/>
    <row r="39" s="2" customFormat="1" ht="24.95" customHeight="1" x14ac:dyDescent="0.25"/>
    <row r="40" s="2" customFormat="1" ht="24.95" customHeight="1" x14ac:dyDescent="0.25"/>
    <row r="41" s="2" customFormat="1" ht="24.95" customHeight="1" x14ac:dyDescent="0.25"/>
  </sheetData>
  <sheetProtection sheet="1" objects="1" scenarios="1"/>
  <mergeCells count="22">
    <mergeCell ref="C24:D24"/>
    <mergeCell ref="B25:F25"/>
    <mergeCell ref="B26:F26"/>
    <mergeCell ref="B23:D23"/>
    <mergeCell ref="C22:D22"/>
    <mergeCell ref="B18:I18"/>
    <mergeCell ref="C21:D21"/>
    <mergeCell ref="C20:D20"/>
    <mergeCell ref="B2:I2"/>
    <mergeCell ref="G4:H4"/>
    <mergeCell ref="E6:E7"/>
    <mergeCell ref="G9:H9"/>
    <mergeCell ref="G6:H6"/>
    <mergeCell ref="B10:E10"/>
    <mergeCell ref="B15:D15"/>
    <mergeCell ref="G13:H13"/>
    <mergeCell ref="B14:C14"/>
    <mergeCell ref="B4:D4"/>
    <mergeCell ref="B5:D5"/>
    <mergeCell ref="B6:D7"/>
    <mergeCell ref="B8:D8"/>
    <mergeCell ref="B9:D9"/>
  </mergeCells>
  <conditionalFormatting sqref="E4">
    <cfRule type="expression" dxfId="6" priority="7">
      <formula>$O$4=1</formula>
    </cfRule>
  </conditionalFormatting>
  <conditionalFormatting sqref="E5">
    <cfRule type="expression" dxfId="5" priority="5">
      <formula>$O$9=1</formula>
    </cfRule>
  </conditionalFormatting>
  <conditionalFormatting sqref="G15">
    <cfRule type="expression" dxfId="4" priority="3">
      <formula>$L$15=0</formula>
    </cfRule>
    <cfRule type="expression" dxfId="3" priority="4">
      <formula>$L$15=1</formula>
    </cfRule>
  </conditionalFormatting>
  <conditionalFormatting sqref="H7">
    <cfRule type="expression" dxfId="2" priority="2">
      <formula>$L$7=1</formula>
    </cfRule>
  </conditionalFormatting>
  <conditionalFormatting sqref="H8">
    <cfRule type="expression" dxfId="1" priority="1">
      <formula>$L$8=1</formula>
    </cfRule>
  </conditionalFormatting>
  <conditionalFormatting sqref="I9">
    <cfRule type="expression" dxfId="0" priority="6">
      <formula>$O$9=1</formula>
    </cfRule>
  </conditionalFormatting>
  <pageMargins left="0.19685039370078741" right="0.19685039370078741" top="0.39370078740157483" bottom="0.19685039370078741" header="0.31496062992125984" footer="0.31496062992125984"/>
  <pageSetup paperSize="9" orientation="landscape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Prix_Achat</vt:lpstr>
      <vt:lpstr>Taux_FP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2024-08-24T09:38:23Z</cp:lastPrinted>
  <dcterms:created xsi:type="dcterms:W3CDTF">2023-11-21T07:33:33Z</dcterms:created>
  <dcterms:modified xsi:type="dcterms:W3CDTF">2024-08-24T09:42:53Z</dcterms:modified>
</cp:coreProperties>
</file>