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8E4373D1-7864-4940-B788-DF4963478AC8}" xr6:coauthVersionLast="47" xr6:coauthVersionMax="47" xr10:uidLastSave="{00000000-0000-0000-0000-000000000000}"/>
  <bookViews>
    <workbookView xWindow="-120" yWindow="-120" windowWidth="29040" windowHeight="15720" xr2:uid="{6B754851-94BF-4E45-893C-B66F11AD6834}"/>
  </bookViews>
  <sheets>
    <sheet name="Feuil1" sheetId="1" r:id="rId1"/>
  </sheets>
  <definedNames>
    <definedName name="BTE_An">Feuil1!$J$6</definedName>
    <definedName name="Echelle44">Feuil1!$G$4:$H$12</definedName>
    <definedName name="FactReval">Feuil1!$J$3</definedName>
    <definedName name="Print_Area" localSheetId="0">Feuil1!$A$1:$K$14</definedName>
    <definedName name="RenteAVSMax">Feuil1!$H$12</definedName>
    <definedName name="Revenu_Annuel_Brut_Moyen">Feuil1!$E$4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8" i="1"/>
  <c r="H9" i="1"/>
  <c r="H10" i="1"/>
  <c r="H11" i="1"/>
  <c r="C6" i="1"/>
  <c r="C5" i="1"/>
  <c r="E4" i="1"/>
  <c r="C8" i="1"/>
  <c r="C9" i="1" s="1"/>
  <c r="J3" i="1"/>
  <c r="H12" i="1"/>
  <c r="J6" i="1" s="1"/>
  <c r="G12" i="1"/>
  <c r="G11" i="1"/>
  <c r="G10" i="1"/>
  <c r="G9" i="1"/>
  <c r="G8" i="1"/>
  <c r="G5" i="1"/>
  <c r="H4" i="1"/>
  <c r="G4" i="1"/>
  <c r="C7" i="1" l="1"/>
  <c r="C10" i="1" s="1"/>
  <c r="C11" i="1" s="1"/>
  <c r="C12" i="1" s="1"/>
  <c r="C13" i="1" s="1"/>
</calcChain>
</file>

<file path=xl/sharedStrings.xml><?xml version="1.0" encoding="utf-8"?>
<sst xmlns="http://schemas.openxmlformats.org/spreadsheetml/2006/main" count="20" uniqueCount="20">
  <si>
    <t>Facteur de revalorisation</t>
  </si>
  <si>
    <t>Plafond</t>
  </si>
  <si>
    <t>Revenu annuel moyen déterminant (RAMD)</t>
  </si>
  <si>
    <t>Revenu AVS brut moyen des 44 dernières années</t>
  </si>
  <si>
    <t>Nombre d'enfants</t>
  </si>
  <si>
    <t>Nb d'années d'écart entre le 1e et le dernier</t>
  </si>
  <si>
    <t>Nombre d'années de BTE</t>
  </si>
  <si>
    <t>50% BTE annuelle</t>
  </si>
  <si>
    <t xml:space="preserve">Homme de 65 ans 
sans lacunes de cotisations </t>
  </si>
  <si>
    <r>
      <t xml:space="preserve">Total des revenus des 44 dernières années </t>
    </r>
    <r>
      <rPr>
        <b/>
        <u/>
        <sz val="12"/>
        <color theme="1"/>
        <rFont val="Arial"/>
        <family val="2"/>
      </rPr>
      <t>AVEC</t>
    </r>
    <r>
      <rPr>
        <b/>
        <sz val="12"/>
        <color theme="1"/>
        <rFont val="Arial"/>
        <family val="2"/>
      </rPr>
      <t xml:space="preserve"> facteur de revalorisation</t>
    </r>
  </si>
  <si>
    <r>
      <t xml:space="preserve">Total des revenus des 44 dernières années 
</t>
    </r>
    <r>
      <rPr>
        <b/>
        <u/>
        <sz val="10"/>
        <rFont val="Arial"/>
        <family val="2"/>
      </rPr>
      <t>SANS</t>
    </r>
    <r>
      <rPr>
        <b/>
        <sz val="10"/>
        <rFont val="Arial"/>
        <family val="2"/>
      </rPr>
      <t xml:space="preserve"> facteur de revalorisation</t>
    </r>
  </si>
  <si>
    <t xml:space="preserve">Ajouter les BTE </t>
  </si>
  <si>
    <t xml:space="preserve">Total des revenus déterminants </t>
  </si>
  <si>
    <t xml:space="preserve">Revenu annuel moyen déterminants </t>
  </si>
  <si>
    <t xml:space="preserve">Rente AVS mensuelle prévisible </t>
  </si>
  <si>
    <t>Extrait de 
l'Echelle 44
2023</t>
  </si>
  <si>
    <t>07.11.2023 19:00 / PK</t>
  </si>
  <si>
    <t>Rente mensuelle de vieillesse AVS</t>
  </si>
  <si>
    <t>Ne pas indiquer un revenu trop faible 
afin que l'exercice soit réaliste</t>
  </si>
  <si>
    <r>
      <t xml:space="preserve">Calcul approximatif d'une rente de vieillesse de l'AVS
</t>
    </r>
    <r>
      <rPr>
        <sz val="12"/>
        <color theme="1"/>
        <rFont val="Arial"/>
        <family val="2"/>
      </rPr>
      <t>- L'assuré est marié
- Son épouse a 10 ans de moins que lui
- Pas de splitting des revenus nécessaire pour ces calculs</t>
    </r>
    <r>
      <rPr>
        <b/>
        <sz val="16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- Dès que l'épouse touchera sa rente AVS, il faudra tout recalculer 
  selon les règles du splitting et du plafonnement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</si>
</sst>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2"/>
      <color theme="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quotePrefix="1" applyFont="1" applyAlignment="1">
      <alignment vertical="center"/>
    </xf>
    <xf numFmtId="43" fontId="4" fillId="2" borderId="12" xfId="1" applyFont="1" applyFill="1" applyBorder="1" applyAlignment="1">
      <alignment vertical="center"/>
    </xf>
    <xf numFmtId="43" fontId="4" fillId="2" borderId="13" xfId="1" applyFont="1" applyFill="1" applyBorder="1" applyAlignment="1">
      <alignment vertical="center"/>
    </xf>
    <xf numFmtId="43" fontId="4" fillId="2" borderId="15" xfId="1" applyFont="1" applyFill="1" applyBorder="1" applyAlignment="1">
      <alignment vertical="center"/>
    </xf>
    <xf numFmtId="43" fontId="4" fillId="2" borderId="8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43" fontId="4" fillId="2" borderId="16" xfId="1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43" fontId="5" fillId="2" borderId="18" xfId="1" applyFont="1" applyFill="1" applyBorder="1" applyAlignment="1">
      <alignment vertical="center"/>
    </xf>
    <xf numFmtId="43" fontId="5" fillId="2" borderId="19" xfId="1" applyFont="1" applyFill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43" fontId="5" fillId="2" borderId="3" xfId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vertical="center"/>
      <protection locked="0"/>
    </xf>
    <xf numFmtId="43" fontId="7" fillId="3" borderId="7" xfId="1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43" fontId="3" fillId="2" borderId="10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43" fontId="5" fillId="2" borderId="5" xfId="1" applyFont="1" applyFill="1" applyBorder="1" applyAlignment="1">
      <alignment vertical="center"/>
    </xf>
    <xf numFmtId="0" fontId="11" fillId="4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5" borderId="14" xfId="1" applyFont="1" applyFill="1" applyBorder="1" applyAlignment="1" applyProtection="1">
      <alignment vertical="center"/>
      <protection locked="0"/>
    </xf>
    <xf numFmtId="43" fontId="10" fillId="5" borderId="7" xfId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 wrapText="1"/>
    </xf>
    <xf numFmtId="43" fontId="5" fillId="5" borderId="7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21" xfId="0" applyFont="1" applyFill="1" applyBorder="1" applyAlignment="1">
      <alignment horizontal="center" vertical="center" textRotation="90" wrapText="1"/>
    </xf>
    <xf numFmtId="0" fontId="6" fillId="5" borderId="19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3" fontId="4" fillId="2" borderId="20" xfId="1" applyFont="1" applyFill="1" applyBorder="1" applyAlignment="1">
      <alignment horizontal="center" vertical="center"/>
    </xf>
    <xf numFmtId="43" fontId="4" fillId="2" borderId="21" xfId="1" applyFont="1" applyFill="1" applyBorder="1" applyAlignment="1">
      <alignment horizontal="center" vertical="center"/>
    </xf>
    <xf numFmtId="43" fontId="4" fillId="2" borderId="16" xfId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BD43-3252-4E77-A3DC-4579BE0C6753}">
  <dimension ref="A1:O39"/>
  <sheetViews>
    <sheetView showGridLines="0" tabSelected="1" topLeftCell="A2" workbookViewId="0">
      <selection activeCell="E4" sqref="E4"/>
    </sheetView>
  </sheetViews>
  <sheetFormatPr baseColWidth="10" defaultRowHeight="12.75" x14ac:dyDescent="0.2"/>
  <cols>
    <col min="1" max="1" width="0.875" style="1" customWidth="1"/>
    <col min="2" max="2" width="42.625" style="1" customWidth="1"/>
    <col min="3" max="3" width="15.625" style="1" customWidth="1"/>
    <col min="4" max="4" width="1.5" style="1" customWidth="1"/>
    <col min="5" max="5" width="12.25" style="1" bestFit="1" customWidth="1"/>
    <col min="6" max="6" width="1.5" style="1" customWidth="1"/>
    <col min="7" max="8" width="15.625" style="1" customWidth="1"/>
    <col min="9" max="9" width="1.5" style="1" customWidth="1"/>
    <col min="10" max="10" width="22.625" style="1" customWidth="1"/>
    <col min="11" max="11" width="0.875" style="1" customWidth="1"/>
    <col min="12" max="16384" width="11" style="1"/>
  </cols>
  <sheetData>
    <row r="1" spans="1:15" ht="5.25" customHeight="1" thickBot="1" x14ac:dyDescent="0.25">
      <c r="A1" s="41"/>
      <c r="B1" s="4"/>
      <c r="C1" s="4"/>
      <c r="K1" s="41"/>
    </row>
    <row r="2" spans="1:15" s="2" customFormat="1" ht="120" customHeight="1" thickBot="1" x14ac:dyDescent="0.25">
      <c r="A2" s="41"/>
      <c r="B2" s="53" t="s">
        <v>19</v>
      </c>
      <c r="C2" s="53"/>
      <c r="D2" s="53"/>
      <c r="E2" s="53"/>
      <c r="G2" s="44" t="s">
        <v>15</v>
      </c>
      <c r="H2" s="45"/>
      <c r="J2" s="20" t="s">
        <v>0</v>
      </c>
      <c r="K2" s="41"/>
    </row>
    <row r="3" spans="1:15" ht="69.95" customHeight="1" thickBot="1" x14ac:dyDescent="0.25">
      <c r="A3" s="41"/>
      <c r="B3" s="51" t="s">
        <v>8</v>
      </c>
      <c r="C3" s="52"/>
      <c r="E3" s="21" t="s">
        <v>3</v>
      </c>
      <c r="G3" s="11" t="s">
        <v>2</v>
      </c>
      <c r="H3" s="36" t="s">
        <v>17</v>
      </c>
      <c r="J3" s="35">
        <f>1.059+0</f>
        <v>1.0589999999999999</v>
      </c>
      <c r="K3" s="41"/>
    </row>
    <row r="4" spans="1:15" ht="30" customHeight="1" thickBot="1" x14ac:dyDescent="0.25">
      <c r="A4" s="41"/>
      <c r="B4" s="15"/>
      <c r="C4" s="15"/>
      <c r="E4" s="37">
        <f>50000+0</f>
        <v>50000</v>
      </c>
      <c r="G4" s="9">
        <f>45570+0</f>
        <v>45570</v>
      </c>
      <c r="H4" s="10">
        <f>1882+0</f>
        <v>1882</v>
      </c>
      <c r="K4" s="41"/>
    </row>
    <row r="5" spans="1:15" ht="24.95" customHeight="1" x14ac:dyDescent="0.2">
      <c r="A5" s="41"/>
      <c r="B5" s="18" t="s">
        <v>4</v>
      </c>
      <c r="C5" s="19">
        <f>2+0</f>
        <v>2</v>
      </c>
      <c r="E5" s="42" t="s">
        <v>18</v>
      </c>
      <c r="G5" s="48">
        <f>52920+0</f>
        <v>52920</v>
      </c>
      <c r="H5" s="48">
        <f>1980+0</f>
        <v>1980</v>
      </c>
      <c r="J5" s="16" t="s">
        <v>7</v>
      </c>
      <c r="K5" s="41"/>
      <c r="N5" s="3"/>
      <c r="O5" s="3"/>
    </row>
    <row r="6" spans="1:15" ht="24.95" customHeight="1" thickBot="1" x14ac:dyDescent="0.25">
      <c r="A6" s="41"/>
      <c r="B6" s="28" t="s">
        <v>5</v>
      </c>
      <c r="C6" s="29">
        <f>3+0</f>
        <v>3</v>
      </c>
      <c r="E6" s="42"/>
      <c r="G6" s="49"/>
      <c r="H6" s="49"/>
      <c r="J6" s="17">
        <f>RenteAVSMax*9</f>
        <v>22050</v>
      </c>
      <c r="K6" s="41"/>
      <c r="N6" s="3"/>
      <c r="O6" s="3"/>
    </row>
    <row r="7" spans="1:15" ht="24.95" customHeight="1" thickBot="1" x14ac:dyDescent="0.25">
      <c r="A7" s="41"/>
      <c r="B7" s="26" t="s">
        <v>6</v>
      </c>
      <c r="C7" s="27">
        <f>IF(C5=0,0,_xlfn.SINGLE(IF(C5=1,16,16+C6)))</f>
        <v>19</v>
      </c>
      <c r="E7" s="42"/>
      <c r="G7" s="50"/>
      <c r="H7" s="50"/>
      <c r="K7" s="41"/>
    </row>
    <row r="8" spans="1:15" ht="45" customHeight="1" thickBot="1" x14ac:dyDescent="0.25">
      <c r="A8" s="41"/>
      <c r="B8" s="24" t="s">
        <v>10</v>
      </c>
      <c r="C8" s="38">
        <f>Revenu_Annuel_Brut_Moyen*44</f>
        <v>2200000</v>
      </c>
      <c r="E8" s="42"/>
      <c r="G8" s="5">
        <f>60270+0</f>
        <v>60270</v>
      </c>
      <c r="H8" s="7">
        <f>2078+0</f>
        <v>2078</v>
      </c>
      <c r="K8" s="41"/>
    </row>
    <row r="9" spans="1:15" ht="45" customHeight="1" thickBot="1" x14ac:dyDescent="0.25">
      <c r="A9" s="41"/>
      <c r="B9" s="39" t="s">
        <v>9</v>
      </c>
      <c r="C9" s="40">
        <f>+C8*FactReval</f>
        <v>2329800</v>
      </c>
      <c r="E9" s="42"/>
      <c r="G9" s="5">
        <f>67620+0</f>
        <v>67620</v>
      </c>
      <c r="H9" s="7">
        <f>2176+0</f>
        <v>2176</v>
      </c>
      <c r="K9" s="41"/>
    </row>
    <row r="10" spans="1:15" ht="45" customHeight="1" thickBot="1" x14ac:dyDescent="0.25">
      <c r="A10" s="41"/>
      <c r="B10" s="25" t="s">
        <v>11</v>
      </c>
      <c r="C10" s="30">
        <f>+C7*BTE_An</f>
        <v>418950</v>
      </c>
      <c r="E10" s="42"/>
      <c r="G10" s="5">
        <f>74970+0</f>
        <v>74970</v>
      </c>
      <c r="H10" s="7">
        <f>2274+0</f>
        <v>2274</v>
      </c>
      <c r="K10" s="41"/>
    </row>
    <row r="11" spans="1:15" ht="39.950000000000003" customHeight="1" thickBot="1" x14ac:dyDescent="0.25">
      <c r="A11" s="41"/>
      <c r="B11" s="22" t="s">
        <v>12</v>
      </c>
      <c r="C11" s="23">
        <f>+C9+C10</f>
        <v>2748750</v>
      </c>
      <c r="E11" s="42"/>
      <c r="G11" s="6">
        <f>82320+0</f>
        <v>82320</v>
      </c>
      <c r="H11" s="8">
        <f>2372+0</f>
        <v>2372</v>
      </c>
      <c r="K11" s="41"/>
    </row>
    <row r="12" spans="1:15" ht="39.950000000000003" customHeight="1" thickBot="1" x14ac:dyDescent="0.25">
      <c r="A12" s="41"/>
      <c r="B12" s="33" t="s">
        <v>13</v>
      </c>
      <c r="C12" s="34">
        <f>VLOOKUP((C11/44),Echelle44,1)</f>
        <v>60270</v>
      </c>
      <c r="E12" s="42"/>
      <c r="G12" s="12">
        <f>88200+0</f>
        <v>88200</v>
      </c>
      <c r="H12" s="13">
        <f>2450+0</f>
        <v>2450</v>
      </c>
      <c r="K12" s="41"/>
    </row>
    <row r="13" spans="1:15" ht="39.950000000000003" customHeight="1" thickBot="1" x14ac:dyDescent="0.25">
      <c r="A13" s="41"/>
      <c r="B13" s="31" t="s">
        <v>14</v>
      </c>
      <c r="C13" s="32">
        <f>VLOOKUP(C12,Echelle44,2)</f>
        <v>2078</v>
      </c>
      <c r="E13" s="43"/>
      <c r="G13" s="46" t="s">
        <v>1</v>
      </c>
      <c r="H13" s="47"/>
      <c r="J13" s="14" t="s">
        <v>16</v>
      </c>
      <c r="K13" s="41"/>
    </row>
    <row r="14" spans="1:15" ht="5.25" customHeight="1" x14ac:dyDescent="0.2">
      <c r="A14" s="41"/>
      <c r="K14" s="41"/>
    </row>
    <row r="15" spans="1:15" ht="24.95" customHeight="1" x14ac:dyDescent="0.2"/>
    <row r="16" spans="1:15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</sheetData>
  <sheetProtection sheet="1" objects="1" scenarios="1"/>
  <mergeCells count="9">
    <mergeCell ref="A1:A14"/>
    <mergeCell ref="K1:K14"/>
    <mergeCell ref="E5:E13"/>
    <mergeCell ref="G2:H2"/>
    <mergeCell ref="G13:H13"/>
    <mergeCell ref="G5:G7"/>
    <mergeCell ref="H5:H7"/>
    <mergeCell ref="B3:C3"/>
    <mergeCell ref="B2:E2"/>
  </mergeCells>
  <conditionalFormatting sqref="H4">
    <cfRule type="expression" dxfId="0" priority="1">
      <formula>$H4=$C$13</formula>
    </cfRule>
  </conditionalFormatting>
  <pageMargins left="0.31496062992125984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Feuil1</vt:lpstr>
      <vt:lpstr>BTE_An</vt:lpstr>
      <vt:lpstr>Echelle44</vt:lpstr>
      <vt:lpstr>FactReval</vt:lpstr>
      <vt:lpstr>Feuil1!Print_Area</vt:lpstr>
      <vt:lpstr>RenteAVSMax</vt:lpstr>
      <vt:lpstr>Revenu_Annuel_Brut_Moyen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2023-11-07T18:13:04Z</cp:lastPrinted>
  <dcterms:created xsi:type="dcterms:W3CDTF">2023-11-07T15:20:11Z</dcterms:created>
  <dcterms:modified xsi:type="dcterms:W3CDTF">2023-11-07T18:17:38Z</dcterms:modified>
</cp:coreProperties>
</file>